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00" yWindow="90" windowWidth="14100" windowHeight="901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<sst xmlns="http://schemas.openxmlformats.org/spreadsheetml/2006/main" count="96" uniqueCount="81">
  <si>
    <t>Tag</t>
  </si>
  <si>
    <t>Datum</t>
  </si>
  <si>
    <t>Start</t>
  </si>
  <si>
    <t>Zwischenstationen</t>
  </si>
  <si>
    <t>Ziel</t>
  </si>
  <si>
    <t>10.</t>
  </si>
  <si>
    <t>Summe</t>
  </si>
  <si>
    <t>11.</t>
  </si>
  <si>
    <t>Fahrzeit</t>
  </si>
  <si>
    <t>Höhe Beginn</t>
  </si>
  <si>
    <t>Höhe Ende</t>
  </si>
  <si>
    <t>Max. Höhe</t>
  </si>
  <si>
    <t>Hm aufw</t>
  </si>
  <si>
    <t>Hm abw</t>
  </si>
  <si>
    <t>Gesamtzeit</t>
  </si>
  <si>
    <t>Pausenzeit</t>
  </si>
  <si>
    <t>Max.Temp.</t>
  </si>
  <si>
    <t xml:space="preserve">Min.Temp. </t>
  </si>
  <si>
    <t>Ø Steigung</t>
  </si>
  <si>
    <t>max.Steigung</t>
  </si>
  <si>
    <t>Ø Gefälle</t>
  </si>
  <si>
    <t>max.Gefälle</t>
  </si>
  <si>
    <t>km</t>
  </si>
  <si>
    <t>km/Tag</t>
  </si>
  <si>
    <t>km/Fahrtag</t>
  </si>
  <si>
    <t>max. km/h</t>
  </si>
  <si>
    <t>Σ km</t>
  </si>
  <si>
    <t>Σ Hm aufw</t>
  </si>
  <si>
    <t>Δ Temp.</t>
  </si>
  <si>
    <t>Σ Hm abw</t>
  </si>
  <si>
    <t>Δ Hmauf-abw</t>
  </si>
  <si>
    <t>Δ Beg./Ende</t>
  </si>
  <si>
    <t>Σ Fahrzeit</t>
  </si>
  <si>
    <t>Σ Gesamtzeit</t>
  </si>
  <si>
    <t>Σ Pausenzeit</t>
  </si>
  <si>
    <t>12.</t>
  </si>
  <si>
    <t>13.</t>
  </si>
  <si>
    <t>14.</t>
  </si>
  <si>
    <t>15.</t>
  </si>
  <si>
    <t>16.</t>
  </si>
  <si>
    <t>17.</t>
  </si>
  <si>
    <t>km/h brutto</t>
  </si>
  <si>
    <t>km/h netto</t>
  </si>
  <si>
    <t>01.</t>
  </si>
  <si>
    <t>02.</t>
  </si>
  <si>
    <t>03.</t>
  </si>
  <si>
    <t>04.</t>
  </si>
  <si>
    <t>05.</t>
  </si>
  <si>
    <t>06.</t>
  </si>
  <si>
    <t>07.</t>
  </si>
  <si>
    <t>08.</t>
  </si>
  <si>
    <t>09.</t>
  </si>
  <si>
    <t>Malaga - Casablanca (9.-15.11. &amp; 16.-25.12.2013)</t>
  </si>
  <si>
    <r>
      <t xml:space="preserve">Statistik </t>
    </r>
    <r>
      <rPr>
        <b/>
        <sz val="20"/>
        <rFont val="Arial"/>
        <family val="2"/>
      </rPr>
      <t>Malaga - Casablanca (9.-15.11. &amp; 16.-25.12.2013)</t>
    </r>
  </si>
  <si>
    <t>Malaga</t>
  </si>
  <si>
    <t>Fuengirola</t>
  </si>
  <si>
    <t>Marbella</t>
  </si>
  <si>
    <t>Estepona</t>
  </si>
  <si>
    <t>Torreguadiaro</t>
  </si>
  <si>
    <t>Grenze - Gibraltar - Grenze</t>
  </si>
  <si>
    <t>La Línea de la C.</t>
  </si>
  <si>
    <t>Estacion Ferrea</t>
  </si>
  <si>
    <t>Ronda</t>
  </si>
  <si>
    <t>Puerto del Viento (1190 m) - Pizarra</t>
  </si>
  <si>
    <t>Puerto de Encinas Borrachas (1006 m) - Algeciras</t>
  </si>
  <si>
    <t>Tarifa</t>
  </si>
  <si>
    <t>Casablanca</t>
  </si>
  <si>
    <t>Mohammedia</t>
  </si>
  <si>
    <t>Rabat</t>
  </si>
  <si>
    <t>Kénitra</t>
  </si>
  <si>
    <t xml:space="preserve">Suq-el-Arbaa-du-Gharb - Dlalha </t>
  </si>
  <si>
    <t>Larache</t>
  </si>
  <si>
    <t>Cap Spartel</t>
  </si>
  <si>
    <t>Tanger</t>
  </si>
  <si>
    <t>Ksar Sghir</t>
  </si>
  <si>
    <t>Tétouan</t>
  </si>
  <si>
    <t>Oued Laou</t>
  </si>
  <si>
    <t>El Jebha</t>
  </si>
  <si>
    <t>Al Hoceima</t>
  </si>
  <si>
    <t>Nador - Grenze Marokko/Spanien</t>
  </si>
  <si>
    <t>Melilla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</si>
</sst>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h]:mm"/>
    <numFmt numFmtId="176" formatCode="[hh]"/>
    <numFmt numFmtId="177" formatCode="[h]"/>
    <numFmt numFmtId="178" formatCode="0.0"/>
    <numFmt numFmtId="179" formatCode="00000"/>
    <numFmt numFmtId="180" formatCode="[hhh]:mm"/>
  </numFmts>
  <fonts count="11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2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9"/>
      <name val="WP CyrillicA"/>
      <family val="0"/>
    </font>
    <font>
      <i/>
      <sz val="10"/>
      <name val="Arial"/>
      <family val="2"/>
    </font>
    <font>
      <b/>
      <i/>
      <sz val="2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right" wrapText="1"/>
    </xf>
    <xf numFmtId="0" fontId="6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0" fillId="0" borderId="0" xfId="0" applyBorder="1" applyAlignment="1">
      <alignment/>
    </xf>
    <xf numFmtId="21" fontId="6" fillId="0" borderId="0" xfId="0" applyNumberFormat="1" applyFont="1" applyBorder="1" applyAlignment="1">
      <alignment vertical="top" wrapText="1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9" fillId="0" borderId="3" xfId="0" applyFont="1" applyBorder="1" applyAlignment="1">
      <alignment/>
    </xf>
    <xf numFmtId="0" fontId="9" fillId="0" borderId="4" xfId="0" applyFont="1" applyBorder="1" applyAlignment="1">
      <alignment/>
    </xf>
    <xf numFmtId="0" fontId="0" fillId="0" borderId="5" xfId="0" applyBorder="1" applyAlignment="1">
      <alignment/>
    </xf>
    <xf numFmtId="0" fontId="9" fillId="0" borderId="0" xfId="0" applyFont="1" applyBorder="1" applyAlignment="1">
      <alignment/>
    </xf>
    <xf numFmtId="0" fontId="9" fillId="0" borderId="6" xfId="0" applyFont="1" applyBorder="1" applyAlignment="1">
      <alignment/>
    </xf>
    <xf numFmtId="175" fontId="9" fillId="0" borderId="3" xfId="0" applyNumberFormat="1" applyFont="1" applyBorder="1" applyAlignment="1">
      <alignment/>
    </xf>
    <xf numFmtId="175" fontId="9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175" fontId="1" fillId="0" borderId="1" xfId="0" applyNumberFormat="1" applyFont="1" applyBorder="1" applyAlignment="1">
      <alignment/>
    </xf>
    <xf numFmtId="0" fontId="1" fillId="0" borderId="1" xfId="0" applyFont="1" applyFill="1" applyBorder="1" applyAlignment="1">
      <alignment/>
    </xf>
    <xf numFmtId="0" fontId="2" fillId="0" borderId="1" xfId="0" applyFont="1" applyBorder="1" applyAlignment="1">
      <alignment textRotation="90"/>
    </xf>
    <xf numFmtId="0" fontId="2" fillId="0" borderId="1" xfId="0" applyFont="1" applyFill="1" applyBorder="1" applyAlignment="1">
      <alignment textRotation="90"/>
    </xf>
    <xf numFmtId="0" fontId="2" fillId="0" borderId="1" xfId="0" applyFont="1" applyBorder="1" applyAlignment="1">
      <alignment textRotation="90" wrapText="1"/>
    </xf>
    <xf numFmtId="0" fontId="2" fillId="0" borderId="1" xfId="0" applyFont="1" applyFill="1" applyBorder="1" applyAlignment="1">
      <alignment textRotation="90" wrapText="1"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right" vertical="center" wrapText="1"/>
    </xf>
    <xf numFmtId="0" fontId="1" fillId="0" borderId="0" xfId="0" applyFont="1" applyBorder="1" applyAlignment="1">
      <alignment/>
    </xf>
    <xf numFmtId="178" fontId="0" fillId="0" borderId="3" xfId="0" applyNumberFormat="1" applyBorder="1" applyAlignment="1">
      <alignment/>
    </xf>
    <xf numFmtId="178" fontId="0" fillId="0" borderId="0" xfId="0" applyNumberFormat="1" applyBorder="1" applyAlignment="1">
      <alignment/>
    </xf>
    <xf numFmtId="178" fontId="0" fillId="0" borderId="0" xfId="0" applyNumberFormat="1" applyFill="1" applyBorder="1" applyAlignment="1">
      <alignment/>
    </xf>
    <xf numFmtId="1" fontId="1" fillId="0" borderId="1" xfId="0" applyNumberFormat="1" applyFont="1" applyFill="1" applyBorder="1" applyAlignment="1">
      <alignment/>
    </xf>
    <xf numFmtId="178" fontId="1" fillId="0" borderId="1" xfId="0" applyNumberFormat="1" applyFont="1" applyBorder="1" applyAlignment="1">
      <alignment/>
    </xf>
    <xf numFmtId="175" fontId="0" fillId="0" borderId="3" xfId="0" applyNumberFormat="1" applyBorder="1" applyAlignment="1">
      <alignment/>
    </xf>
    <xf numFmtId="175" fontId="0" fillId="0" borderId="0" xfId="0" applyNumberFormat="1" applyBorder="1" applyAlignment="1">
      <alignment/>
    </xf>
    <xf numFmtId="178" fontId="1" fillId="0" borderId="0" xfId="0" applyNumberFormat="1" applyFont="1" applyBorder="1" applyAlignment="1">
      <alignment/>
    </xf>
    <xf numFmtId="1" fontId="0" fillId="0" borderId="0" xfId="0" applyNumberFormat="1" applyAlignment="1">
      <alignment/>
    </xf>
    <xf numFmtId="178" fontId="0" fillId="0" borderId="1" xfId="0" applyNumberFormat="1" applyFont="1" applyFill="1" applyBorder="1" applyAlignment="1">
      <alignment/>
    </xf>
    <xf numFmtId="178" fontId="9" fillId="0" borderId="0" xfId="0" applyNumberFormat="1" applyFont="1" applyBorder="1" applyAlignment="1">
      <alignment/>
    </xf>
    <xf numFmtId="0" fontId="0" fillId="0" borderId="1" xfId="0" applyFont="1" applyBorder="1" applyAlignment="1">
      <alignment horizontal="center" vertical="top" wrapText="1"/>
    </xf>
    <xf numFmtId="178" fontId="1" fillId="0" borderId="1" xfId="0" applyNumberFormat="1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wrapText="1"/>
    </xf>
    <xf numFmtId="14" fontId="0" fillId="0" borderId="1" xfId="0" applyNumberFormat="1" applyFont="1" applyBorder="1" applyAlignment="1">
      <alignment horizontal="center" wrapText="1"/>
    </xf>
    <xf numFmtId="0" fontId="0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left" wrapText="1"/>
    </xf>
    <xf numFmtId="0" fontId="3" fillId="0" borderId="9" xfId="0" applyFont="1" applyBorder="1" applyAlignment="1">
      <alignment horizontal="left" wrapText="1"/>
    </xf>
    <xf numFmtId="0" fontId="3" fillId="0" borderId="7" xfId="0" applyFont="1" applyBorder="1" applyAlignment="1">
      <alignment horizontal="left" wrapText="1"/>
    </xf>
    <xf numFmtId="0" fontId="0" fillId="0" borderId="9" xfId="0" applyBorder="1" applyAlignment="1">
      <alignment/>
    </xf>
    <xf numFmtId="0" fontId="10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7" xfId="0" applyFont="1" applyBorder="1" applyAlignment="1">
      <alignment/>
    </xf>
    <xf numFmtId="14" fontId="0" fillId="0" borderId="8" xfId="0" applyNumberFormat="1" applyFont="1" applyBorder="1" applyAlignment="1">
      <alignment horizontal="center" vertical="top" wrapText="1"/>
    </xf>
    <xf numFmtId="0" fontId="0" fillId="0" borderId="9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0" xfId="0" applyBorder="1" applyAlignment="1">
      <alignment/>
    </xf>
    <xf numFmtId="175" fontId="0" fillId="0" borderId="10" xfId="0" applyNumberFormat="1" applyBorder="1" applyAlignment="1">
      <alignment/>
    </xf>
    <xf numFmtId="175" fontId="9" fillId="0" borderId="10" xfId="0" applyNumberFormat="1" applyFont="1" applyBorder="1" applyAlignment="1">
      <alignment/>
    </xf>
    <xf numFmtId="178" fontId="9" fillId="0" borderId="10" xfId="0" applyNumberFormat="1" applyFont="1" applyBorder="1" applyAlignment="1">
      <alignment/>
    </xf>
    <xf numFmtId="178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9" fillId="0" borderId="10" xfId="0" applyFont="1" applyBorder="1" applyAlignment="1">
      <alignment/>
    </xf>
    <xf numFmtId="0" fontId="0" fillId="0" borderId="11" xfId="0" applyBorder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AH27"/>
  <sheetViews>
    <sheetView tabSelected="1" workbookViewId="0" topLeftCell="A1">
      <selection activeCell="A1" sqref="A1:F1"/>
    </sheetView>
  </sheetViews>
  <sheetFormatPr defaultColWidth="11.421875" defaultRowHeight="12.75"/>
  <cols>
    <col min="1" max="1" width="11.28125" style="0" customWidth="1"/>
    <col min="2" max="2" width="15.28125" style="0" customWidth="1"/>
    <col min="3" max="3" width="23.8515625" style="0" customWidth="1"/>
    <col min="4" max="4" width="60.28125" style="0" customWidth="1"/>
    <col min="5" max="5" width="24.421875" style="0" customWidth="1"/>
    <col min="6" max="7" width="6.421875" style="0" customWidth="1"/>
    <col min="8" max="8" width="4.28125" style="0" customWidth="1"/>
    <col min="9" max="9" width="3.7109375" style="0" customWidth="1"/>
    <col min="10" max="10" width="6.28125" style="0" customWidth="1"/>
    <col min="11" max="11" width="6.57421875" style="0" customWidth="1"/>
    <col min="12" max="12" width="5.57421875" style="0" customWidth="1"/>
    <col min="13" max="13" width="5.421875" style="0" customWidth="1"/>
    <col min="14" max="14" width="6.57421875" style="0" customWidth="1"/>
    <col min="15" max="16" width="6.7109375" style="0" customWidth="1"/>
    <col min="17" max="17" width="6.57421875" style="0" customWidth="1"/>
    <col min="18" max="18" width="7.140625" style="0" customWidth="1"/>
    <col min="19" max="20" width="6.140625" style="0" customWidth="1"/>
    <col min="21" max="21" width="5.57421875" style="0" customWidth="1"/>
    <col min="22" max="22" width="4.8515625" style="0" customWidth="1"/>
    <col min="23" max="23" width="6.28125" style="0" customWidth="1"/>
    <col min="24" max="24" width="5.8515625" style="0" customWidth="1"/>
    <col min="25" max="25" width="6.140625" style="0" customWidth="1"/>
    <col min="26" max="26" width="5.7109375" style="0" customWidth="1"/>
    <col min="27" max="27" width="6.421875" style="0" customWidth="1"/>
    <col min="28" max="28" width="2.8515625" style="0" customWidth="1"/>
    <col min="29" max="29" width="4.00390625" style="0" customWidth="1"/>
    <col min="30" max="30" width="3.421875" style="0" customWidth="1"/>
    <col min="31" max="31" width="3.28125" style="0" customWidth="1"/>
    <col min="32" max="33" width="3.140625" style="0" customWidth="1"/>
    <col min="34" max="34" width="3.57421875" style="0" customWidth="1"/>
  </cols>
  <sheetData>
    <row r="1" spans="1:34" ht="26.25" customHeight="1">
      <c r="A1" s="49" t="s">
        <v>52</v>
      </c>
      <c r="B1" s="50"/>
      <c r="C1" s="50"/>
      <c r="D1" s="50"/>
      <c r="E1" s="50"/>
      <c r="F1" s="51"/>
      <c r="G1" s="53" t="s">
        <v>53</v>
      </c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5"/>
    </row>
    <row r="2" spans="1:30" ht="12.75">
      <c r="A2" s="52"/>
      <c r="B2" s="52"/>
      <c r="C2" s="52"/>
      <c r="D2" s="52"/>
      <c r="E2" s="52"/>
      <c r="F2" s="52"/>
      <c r="G2" s="6"/>
      <c r="H2" s="7"/>
      <c r="I2" s="7"/>
      <c r="J2" s="7"/>
      <c r="K2" s="7"/>
      <c r="L2" s="7"/>
      <c r="M2" s="7"/>
      <c r="N2" s="6"/>
      <c r="O2" s="6"/>
      <c r="P2" s="6"/>
      <c r="Q2" s="6"/>
      <c r="R2" s="11"/>
      <c r="S2" s="6"/>
      <c r="T2" s="6"/>
      <c r="U2" s="8"/>
      <c r="V2" s="8"/>
      <c r="W2" s="8"/>
      <c r="X2" s="9"/>
      <c r="Y2" s="8"/>
      <c r="Z2" s="10"/>
      <c r="AA2" s="10"/>
      <c r="AB2" s="10"/>
      <c r="AC2" s="10"/>
      <c r="AD2" s="10"/>
    </row>
    <row r="3" spans="1:34" ht="74.25">
      <c r="A3" s="1" t="s">
        <v>0</v>
      </c>
      <c r="B3" s="1" t="s">
        <v>1</v>
      </c>
      <c r="C3" s="2" t="s">
        <v>2</v>
      </c>
      <c r="D3" s="1" t="s">
        <v>3</v>
      </c>
      <c r="E3" s="3" t="s">
        <v>4</v>
      </c>
      <c r="F3" s="2" t="s">
        <v>22</v>
      </c>
      <c r="G3" s="24" t="s">
        <v>26</v>
      </c>
      <c r="H3" s="24" t="s">
        <v>23</v>
      </c>
      <c r="I3" s="24" t="s">
        <v>24</v>
      </c>
      <c r="J3" s="24" t="s">
        <v>8</v>
      </c>
      <c r="K3" s="25" t="s">
        <v>32</v>
      </c>
      <c r="L3" s="24" t="s">
        <v>42</v>
      </c>
      <c r="M3" s="24" t="s">
        <v>25</v>
      </c>
      <c r="N3" s="24" t="s">
        <v>14</v>
      </c>
      <c r="O3" s="25" t="s">
        <v>33</v>
      </c>
      <c r="P3" s="24" t="s">
        <v>41</v>
      </c>
      <c r="Q3" s="24" t="s">
        <v>15</v>
      </c>
      <c r="R3" s="25" t="s">
        <v>34</v>
      </c>
      <c r="S3" s="24" t="s">
        <v>9</v>
      </c>
      <c r="T3" s="24" t="s">
        <v>10</v>
      </c>
      <c r="U3" s="24" t="s">
        <v>31</v>
      </c>
      <c r="V3" s="24" t="s">
        <v>12</v>
      </c>
      <c r="W3" s="25" t="s">
        <v>27</v>
      </c>
      <c r="X3" s="24" t="s">
        <v>13</v>
      </c>
      <c r="Y3" s="25" t="s">
        <v>29</v>
      </c>
      <c r="Z3" s="25" t="s">
        <v>30</v>
      </c>
      <c r="AA3" s="24" t="s">
        <v>11</v>
      </c>
      <c r="AB3" s="26" t="s">
        <v>18</v>
      </c>
      <c r="AC3" s="26" t="s">
        <v>19</v>
      </c>
      <c r="AD3" s="26" t="s">
        <v>20</v>
      </c>
      <c r="AE3" s="26" t="s">
        <v>21</v>
      </c>
      <c r="AF3" s="27" t="s">
        <v>17</v>
      </c>
      <c r="AG3" s="27" t="s">
        <v>16</v>
      </c>
      <c r="AH3" s="27" t="s">
        <v>28</v>
      </c>
    </row>
    <row r="4" spans="1:34" ht="12.75">
      <c r="A4" s="59" t="s">
        <v>43</v>
      </c>
      <c r="B4" s="47">
        <v>41587</v>
      </c>
      <c r="C4" s="5" t="s">
        <v>54</v>
      </c>
      <c r="D4" s="46"/>
      <c r="E4" s="4" t="s">
        <v>55</v>
      </c>
      <c r="F4" s="5">
        <v>34</v>
      </c>
      <c r="G4" s="12">
        <f>SUM(F4)</f>
        <v>34</v>
      </c>
      <c r="H4" s="13">
        <f>ROUND(PRODUCT(G4/1),0)</f>
        <v>34</v>
      </c>
      <c r="I4" s="13">
        <f>ROUND(PRODUCT(G4/COUNT(F4:F4)),0)</f>
        <v>34</v>
      </c>
      <c r="J4" s="38"/>
      <c r="K4" s="19"/>
      <c r="L4" s="43"/>
      <c r="M4" s="33">
        <v>43</v>
      </c>
      <c r="N4" s="38">
        <v>0.125</v>
      </c>
      <c r="O4" s="19">
        <f>SUM(N4)</f>
        <v>0.125</v>
      </c>
      <c r="P4" s="43">
        <f aca="true" t="shared" si="0" ref="P4:P20">IF(F4=0,0,ROUND(PRODUCT(F4/SUM(HOUR(N4),PRODUCT(MINUTE(N4)/60))),1))</f>
        <v>11.3</v>
      </c>
      <c r="Q4" s="19"/>
      <c r="R4" s="19">
        <f>SUM(Q4)</f>
        <v>0</v>
      </c>
      <c r="S4" s="13">
        <v>10</v>
      </c>
      <c r="T4" s="10">
        <v>10</v>
      </c>
      <c r="U4" s="14">
        <f aca="true" t="shared" si="1" ref="U4:U10">SUM(-S4,T4)</f>
        <v>0</v>
      </c>
      <c r="V4" s="13"/>
      <c r="W4" s="14">
        <f>SUM(V4)</f>
        <v>0</v>
      </c>
      <c r="X4" s="13"/>
      <c r="Y4" s="14"/>
      <c r="Z4" s="14"/>
      <c r="AA4" s="13">
        <v>15</v>
      </c>
      <c r="AB4" s="13"/>
      <c r="AC4" s="13"/>
      <c r="AD4" s="13"/>
      <c r="AE4" s="13"/>
      <c r="AF4" s="13"/>
      <c r="AG4" s="13"/>
      <c r="AH4" s="15">
        <f aca="true" t="shared" si="2" ref="AH4:AH10">SUM(AG4,-AF4)</f>
        <v>0</v>
      </c>
    </row>
    <row r="5" spans="1:34" ht="12.75">
      <c r="A5" s="59" t="s">
        <v>44</v>
      </c>
      <c r="B5" s="47">
        <v>41588</v>
      </c>
      <c r="C5" s="5" t="s">
        <v>55</v>
      </c>
      <c r="D5" s="46" t="s">
        <v>56</v>
      </c>
      <c r="E5" s="4" t="s">
        <v>57</v>
      </c>
      <c r="F5" s="5">
        <v>64</v>
      </c>
      <c r="G5" s="16">
        <f aca="true" t="shared" si="3" ref="G5:G11">SUM(G4,F5)</f>
        <v>98</v>
      </c>
      <c r="H5" s="10">
        <f>ROUND(PRODUCT(G5/2),0)</f>
        <v>49</v>
      </c>
      <c r="I5" s="10">
        <f>ROUND(PRODUCT(G5/COUNT(F4:F5)),0)</f>
        <v>49</v>
      </c>
      <c r="J5" s="39"/>
      <c r="K5" s="20"/>
      <c r="L5" s="43"/>
      <c r="M5" s="34">
        <v>49</v>
      </c>
      <c r="N5" s="39">
        <v>0.2708333333333333</v>
      </c>
      <c r="O5" s="20">
        <f aca="true" t="shared" si="4" ref="O5:O20">SUM(N5,O4)</f>
        <v>0.3958333333333333</v>
      </c>
      <c r="P5" s="43">
        <f t="shared" si="0"/>
        <v>9.8</v>
      </c>
      <c r="Q5" s="20"/>
      <c r="R5" s="20">
        <f aca="true" t="shared" si="5" ref="R5:R10">SUM(Q5,R4)</f>
        <v>0</v>
      </c>
      <c r="S5" s="10">
        <v>10</v>
      </c>
      <c r="T5" s="10">
        <v>10</v>
      </c>
      <c r="U5" s="17">
        <f t="shared" si="1"/>
        <v>0</v>
      </c>
      <c r="V5" s="28"/>
      <c r="W5" s="17">
        <f aca="true" t="shared" si="6" ref="W5:W10">SUM(W4,V5)</f>
        <v>0</v>
      </c>
      <c r="X5" s="10"/>
      <c r="Y5" s="17"/>
      <c r="Z5" s="17"/>
      <c r="AA5" s="10">
        <v>25</v>
      </c>
      <c r="AB5" s="10"/>
      <c r="AC5" s="29"/>
      <c r="AD5" s="28"/>
      <c r="AE5" s="29"/>
      <c r="AF5" s="29"/>
      <c r="AG5" s="29"/>
      <c r="AH5" s="18">
        <f t="shared" si="2"/>
        <v>0</v>
      </c>
    </row>
    <row r="6" spans="1:34" ht="12.75">
      <c r="A6" s="59" t="s">
        <v>45</v>
      </c>
      <c r="B6" s="47">
        <v>41589</v>
      </c>
      <c r="C6" s="5" t="s">
        <v>57</v>
      </c>
      <c r="D6" s="46"/>
      <c r="E6" s="4" t="s">
        <v>58</v>
      </c>
      <c r="F6" s="5">
        <v>26</v>
      </c>
      <c r="G6" s="16">
        <f t="shared" si="3"/>
        <v>124</v>
      </c>
      <c r="H6" s="10">
        <f>ROUND(PRODUCT(G6/3),0)</f>
        <v>41</v>
      </c>
      <c r="I6" s="10">
        <f>ROUND(PRODUCT(G6/COUNT(F4:F6)),0)</f>
        <v>41</v>
      </c>
      <c r="J6" s="39"/>
      <c r="K6" s="20"/>
      <c r="L6" s="43"/>
      <c r="M6" s="34">
        <v>33</v>
      </c>
      <c r="N6" s="39">
        <v>0.10416666666666667</v>
      </c>
      <c r="O6" s="20">
        <f t="shared" si="4"/>
        <v>0.5</v>
      </c>
      <c r="P6" s="43">
        <f t="shared" si="0"/>
        <v>10.4</v>
      </c>
      <c r="Q6" s="20"/>
      <c r="R6" s="20">
        <f t="shared" si="5"/>
        <v>0</v>
      </c>
      <c r="S6" s="10">
        <v>10</v>
      </c>
      <c r="T6" s="10">
        <v>10</v>
      </c>
      <c r="U6" s="17">
        <f t="shared" si="1"/>
        <v>0</v>
      </c>
      <c r="V6" s="28"/>
      <c r="W6" s="17">
        <f t="shared" si="6"/>
        <v>0</v>
      </c>
      <c r="X6" s="10"/>
      <c r="Y6" s="17"/>
      <c r="Z6" s="17"/>
      <c r="AA6" s="10">
        <v>30</v>
      </c>
      <c r="AB6" s="10"/>
      <c r="AC6" s="29"/>
      <c r="AD6" s="28"/>
      <c r="AE6" s="29"/>
      <c r="AF6" s="29"/>
      <c r="AG6" s="29"/>
      <c r="AH6" s="18">
        <f t="shared" si="2"/>
        <v>0</v>
      </c>
    </row>
    <row r="7" spans="1:34" ht="12.75">
      <c r="A7" s="59" t="s">
        <v>46</v>
      </c>
      <c r="B7" s="47">
        <v>41590</v>
      </c>
      <c r="C7" s="5"/>
      <c r="D7" s="46" t="s">
        <v>58</v>
      </c>
      <c r="E7" s="4"/>
      <c r="F7" s="5"/>
      <c r="G7" s="16">
        <f t="shared" si="3"/>
        <v>124</v>
      </c>
      <c r="H7" s="10">
        <f>ROUND(PRODUCT(G7/4),0)</f>
        <v>31</v>
      </c>
      <c r="I7" s="10">
        <f>ROUND(PRODUCT(G7/COUNT(F4:F7)),0)</f>
        <v>41</v>
      </c>
      <c r="J7" s="39"/>
      <c r="K7" s="20"/>
      <c r="L7" s="43"/>
      <c r="M7" s="35"/>
      <c r="N7" s="39"/>
      <c r="O7" s="20">
        <f t="shared" si="4"/>
        <v>0.5</v>
      </c>
      <c r="P7" s="43">
        <f t="shared" si="0"/>
        <v>0</v>
      </c>
      <c r="Q7" s="20"/>
      <c r="R7" s="20">
        <f t="shared" si="5"/>
        <v>0</v>
      </c>
      <c r="S7" s="28"/>
      <c r="T7" s="28"/>
      <c r="U7" s="17">
        <f t="shared" si="1"/>
        <v>0</v>
      </c>
      <c r="V7" s="28"/>
      <c r="W7" s="17">
        <f t="shared" si="6"/>
        <v>0</v>
      </c>
      <c r="X7" s="10"/>
      <c r="Y7" s="17"/>
      <c r="Z7" s="17"/>
      <c r="AA7" s="28"/>
      <c r="AB7" s="28"/>
      <c r="AC7" s="29"/>
      <c r="AD7" s="28"/>
      <c r="AE7" s="29"/>
      <c r="AF7" s="29"/>
      <c r="AG7" s="29"/>
      <c r="AH7" s="18">
        <f t="shared" si="2"/>
        <v>0</v>
      </c>
    </row>
    <row r="8" spans="1:34" ht="12.75">
      <c r="A8" s="59" t="s">
        <v>47</v>
      </c>
      <c r="B8" s="47">
        <v>41591</v>
      </c>
      <c r="C8" s="5" t="s">
        <v>58</v>
      </c>
      <c r="D8" s="46" t="s">
        <v>59</v>
      </c>
      <c r="E8" s="4" t="s">
        <v>60</v>
      </c>
      <c r="F8" s="5">
        <v>41</v>
      </c>
      <c r="G8" s="16">
        <f t="shared" si="3"/>
        <v>165</v>
      </c>
      <c r="H8" s="10">
        <f>ROUND(PRODUCT(G8/5),0)</f>
        <v>33</v>
      </c>
      <c r="I8" s="10">
        <f>ROUND(PRODUCT(G8/COUNT(F4:F8)),0)</f>
        <v>41</v>
      </c>
      <c r="J8" s="39"/>
      <c r="K8" s="20"/>
      <c r="L8" s="43"/>
      <c r="M8" s="35">
        <v>47</v>
      </c>
      <c r="N8" s="39">
        <v>0.25</v>
      </c>
      <c r="O8" s="20">
        <f t="shared" si="4"/>
        <v>0.75</v>
      </c>
      <c r="P8" s="43">
        <f t="shared" si="0"/>
        <v>6.8</v>
      </c>
      <c r="Q8" s="20"/>
      <c r="R8" s="20">
        <f t="shared" si="5"/>
        <v>0</v>
      </c>
      <c r="S8" s="10">
        <v>10</v>
      </c>
      <c r="T8" s="10">
        <v>10</v>
      </c>
      <c r="U8" s="17">
        <f t="shared" si="1"/>
        <v>0</v>
      </c>
      <c r="V8" s="28"/>
      <c r="W8" s="17">
        <f t="shared" si="6"/>
        <v>0</v>
      </c>
      <c r="X8" s="10"/>
      <c r="Y8" s="17"/>
      <c r="Z8" s="17"/>
      <c r="AA8" s="28">
        <v>150</v>
      </c>
      <c r="AB8" s="28"/>
      <c r="AC8" s="29"/>
      <c r="AD8" s="28"/>
      <c r="AE8" s="29"/>
      <c r="AF8" s="29"/>
      <c r="AG8" s="29"/>
      <c r="AH8" s="18">
        <f t="shared" si="2"/>
        <v>0</v>
      </c>
    </row>
    <row r="9" spans="1:34" ht="12.75">
      <c r="A9" s="59" t="s">
        <v>48</v>
      </c>
      <c r="B9" s="47">
        <v>41592</v>
      </c>
      <c r="C9" s="5" t="s">
        <v>60</v>
      </c>
      <c r="D9" s="46"/>
      <c r="E9" s="4" t="s">
        <v>61</v>
      </c>
      <c r="F9" s="5">
        <v>13</v>
      </c>
      <c r="G9" s="16">
        <f t="shared" si="3"/>
        <v>178</v>
      </c>
      <c r="H9" s="10">
        <f>ROUND(PRODUCT(G9/6),0)</f>
        <v>30</v>
      </c>
      <c r="I9" s="10">
        <f>ROUND(PRODUCT(G9/COUNT(F4:F9)),0)</f>
        <v>36</v>
      </c>
      <c r="J9" s="39"/>
      <c r="K9" s="20"/>
      <c r="L9" s="43"/>
      <c r="M9" s="35">
        <v>33</v>
      </c>
      <c r="N9" s="39">
        <v>0.0625</v>
      </c>
      <c r="O9" s="20">
        <f t="shared" si="4"/>
        <v>0.8125</v>
      </c>
      <c r="P9" s="43">
        <f t="shared" si="0"/>
        <v>8.7</v>
      </c>
      <c r="Q9" s="20"/>
      <c r="R9" s="20">
        <f t="shared" si="5"/>
        <v>0</v>
      </c>
      <c r="S9" s="10">
        <v>10</v>
      </c>
      <c r="T9" s="10">
        <v>10</v>
      </c>
      <c r="U9" s="17">
        <f t="shared" si="1"/>
        <v>0</v>
      </c>
      <c r="V9" s="28"/>
      <c r="W9" s="17">
        <f t="shared" si="6"/>
        <v>0</v>
      </c>
      <c r="X9" s="10"/>
      <c r="Y9" s="17"/>
      <c r="Z9" s="17"/>
      <c r="AA9" s="28">
        <v>20</v>
      </c>
      <c r="AB9" s="28"/>
      <c r="AC9" s="29"/>
      <c r="AD9" s="28"/>
      <c r="AE9" s="29"/>
      <c r="AF9" s="29"/>
      <c r="AG9" s="29"/>
      <c r="AH9" s="18">
        <f t="shared" si="2"/>
        <v>0</v>
      </c>
    </row>
    <row r="10" spans="1:34" ht="12.75">
      <c r="A10" s="59" t="s">
        <v>49</v>
      </c>
      <c r="B10" s="47">
        <v>41593</v>
      </c>
      <c r="C10" s="5" t="s">
        <v>62</v>
      </c>
      <c r="D10" s="46" t="s">
        <v>63</v>
      </c>
      <c r="E10" s="4" t="s">
        <v>54</v>
      </c>
      <c r="F10" s="5">
        <v>102</v>
      </c>
      <c r="G10" s="68">
        <f t="shared" si="3"/>
        <v>280</v>
      </c>
      <c r="H10" s="61">
        <f>ROUND(PRODUCT(G10/7),0)</f>
        <v>40</v>
      </c>
      <c r="I10" s="61">
        <f>ROUND(PRODUCT(G10/COUNT(F4:F10)),0)</f>
        <v>47</v>
      </c>
      <c r="J10" s="62"/>
      <c r="K10" s="63"/>
      <c r="L10" s="64"/>
      <c r="M10" s="65">
        <v>59</v>
      </c>
      <c r="N10" s="62">
        <v>0.375</v>
      </c>
      <c r="O10" s="63">
        <f t="shared" si="4"/>
        <v>1.1875</v>
      </c>
      <c r="P10" s="64">
        <f t="shared" si="0"/>
        <v>11.3</v>
      </c>
      <c r="Q10" s="63"/>
      <c r="R10" s="63">
        <f t="shared" si="5"/>
        <v>0</v>
      </c>
      <c r="S10" s="66">
        <v>750</v>
      </c>
      <c r="T10" s="66">
        <v>10</v>
      </c>
      <c r="U10" s="67">
        <f t="shared" si="1"/>
        <v>-740</v>
      </c>
      <c r="V10" s="28"/>
      <c r="W10" s="17">
        <f t="shared" si="6"/>
        <v>0</v>
      </c>
      <c r="X10" s="10"/>
      <c r="Y10" s="17"/>
      <c r="Z10" s="17"/>
      <c r="AA10" s="28">
        <v>1190</v>
      </c>
      <c r="AB10" s="28"/>
      <c r="AC10" s="29"/>
      <c r="AD10" s="28"/>
      <c r="AE10" s="29"/>
      <c r="AF10" s="29"/>
      <c r="AG10" s="29"/>
      <c r="AH10" s="18">
        <f t="shared" si="2"/>
        <v>0</v>
      </c>
    </row>
    <row r="11" spans="1:34" ht="12.75">
      <c r="A11" s="44" t="s">
        <v>50</v>
      </c>
      <c r="B11" s="47">
        <v>41624</v>
      </c>
      <c r="C11" s="5" t="s">
        <v>62</v>
      </c>
      <c r="D11" s="46" t="s">
        <v>64</v>
      </c>
      <c r="E11" s="4" t="s">
        <v>65</v>
      </c>
      <c r="F11" s="5">
        <v>125</v>
      </c>
      <c r="G11" s="16">
        <f t="shared" si="3"/>
        <v>405</v>
      </c>
      <c r="H11" s="10">
        <f>ROUND(PRODUCT(G11/8),0)</f>
        <v>51</v>
      </c>
      <c r="I11" s="10">
        <f>ROUND(PRODUCT(G11/COUNT(F4:F11)),0)</f>
        <v>58</v>
      </c>
      <c r="J11" s="39">
        <v>0.2916666666666667</v>
      </c>
      <c r="K11" s="20">
        <f>SUM(J11)</f>
        <v>0.2916666666666667</v>
      </c>
      <c r="L11" s="43">
        <f aca="true" t="shared" si="7" ref="L4:L20">IF(F11=0,0,ROUND(PRODUCT(F11/SUM(HOUR(J11),PRODUCT(MINUTE(J11)/60))),1))</f>
        <v>17.9</v>
      </c>
      <c r="M11" s="34">
        <v>60</v>
      </c>
      <c r="N11" s="39">
        <v>0.3541666666666667</v>
      </c>
      <c r="O11" s="20">
        <f t="shared" si="4"/>
        <v>1.5416666666666667</v>
      </c>
      <c r="P11" s="43">
        <f t="shared" si="0"/>
        <v>14.7</v>
      </c>
      <c r="Q11" s="20">
        <f aca="true" t="shared" si="8" ref="Q11:Q20">SUM(N11,-J11)</f>
        <v>0.0625</v>
      </c>
      <c r="R11" s="20">
        <f>SUM(Q11)</f>
        <v>0.0625</v>
      </c>
      <c r="S11" s="10">
        <v>750</v>
      </c>
      <c r="T11" s="10">
        <v>10</v>
      </c>
      <c r="U11" s="17">
        <f>SUM(-S11,T11)</f>
        <v>-740</v>
      </c>
      <c r="V11" s="13"/>
      <c r="W11" s="14">
        <f>SUM(V11)</f>
        <v>0</v>
      </c>
      <c r="X11" s="13"/>
      <c r="Y11" s="14"/>
      <c r="Z11" s="14"/>
      <c r="AA11" s="13">
        <v>1000</v>
      </c>
      <c r="AB11" s="13"/>
      <c r="AC11" s="13"/>
      <c r="AD11" s="13"/>
      <c r="AE11" s="13"/>
      <c r="AF11" s="13">
        <v>10</v>
      </c>
      <c r="AG11" s="13">
        <v>21</v>
      </c>
      <c r="AH11" s="15">
        <f>SUM(AG11,-AF11)</f>
        <v>11</v>
      </c>
    </row>
    <row r="12" spans="1:34" ht="12.75">
      <c r="A12" s="44" t="s">
        <v>51</v>
      </c>
      <c r="B12" s="47">
        <v>41625</v>
      </c>
      <c r="C12" s="5" t="s">
        <v>66</v>
      </c>
      <c r="D12" s="46"/>
      <c r="E12" s="4" t="s">
        <v>67</v>
      </c>
      <c r="F12" s="5">
        <v>33</v>
      </c>
      <c r="G12" s="16">
        <f>SUM(G11,F12)</f>
        <v>438</v>
      </c>
      <c r="H12" s="10">
        <f>ROUND(PRODUCT(G12/9),0)</f>
        <v>49</v>
      </c>
      <c r="I12" s="10">
        <f>ROUND(PRODUCT(G12/COUNT(F4:F12)),0)</f>
        <v>55</v>
      </c>
      <c r="J12" s="39">
        <v>0.08333333333333333</v>
      </c>
      <c r="K12" s="20">
        <f aca="true" t="shared" si="9" ref="K12:K20">SUM(J12,K11)</f>
        <v>0.375</v>
      </c>
      <c r="L12" s="43">
        <f t="shared" si="7"/>
        <v>16.5</v>
      </c>
      <c r="M12" s="34">
        <v>43</v>
      </c>
      <c r="N12" s="39">
        <v>0.1111111111111111</v>
      </c>
      <c r="O12" s="20">
        <f t="shared" si="4"/>
        <v>1.652777777777778</v>
      </c>
      <c r="P12" s="43">
        <f t="shared" si="0"/>
        <v>12.4</v>
      </c>
      <c r="Q12" s="20">
        <f t="shared" si="8"/>
        <v>0.027777777777777776</v>
      </c>
      <c r="R12" s="20">
        <f>SUM(Q12,R11)</f>
        <v>0.09027777777777778</v>
      </c>
      <c r="S12" s="10">
        <v>10</v>
      </c>
      <c r="T12" s="10">
        <v>10</v>
      </c>
      <c r="U12" s="17">
        <f>SUM(-S12,T12)</f>
        <v>0</v>
      </c>
      <c r="V12" s="28"/>
      <c r="W12" s="17">
        <f aca="true" t="shared" si="10" ref="W12:W20">SUM(W11,V12)</f>
        <v>0</v>
      </c>
      <c r="X12" s="10"/>
      <c r="Y12" s="17"/>
      <c r="Z12" s="17"/>
      <c r="AA12" s="10">
        <v>50</v>
      </c>
      <c r="AB12" s="10"/>
      <c r="AC12" s="29"/>
      <c r="AD12" s="28"/>
      <c r="AE12" s="29"/>
      <c r="AF12" s="29">
        <v>16</v>
      </c>
      <c r="AG12" s="29">
        <v>20</v>
      </c>
      <c r="AH12" s="18">
        <f>SUM(AG12,-AF12)</f>
        <v>4</v>
      </c>
    </row>
    <row r="13" spans="1:34" ht="12.75">
      <c r="A13" s="48" t="s">
        <v>5</v>
      </c>
      <c r="B13" s="47">
        <v>41626</v>
      </c>
      <c r="C13" s="5" t="s">
        <v>67</v>
      </c>
      <c r="D13" s="46" t="s">
        <v>68</v>
      </c>
      <c r="E13" s="4" t="s">
        <v>69</v>
      </c>
      <c r="F13" s="5">
        <v>112</v>
      </c>
      <c r="G13" s="16">
        <f aca="true" t="shared" si="11" ref="G13:G20">SUM(G12,F13)</f>
        <v>550</v>
      </c>
      <c r="H13" s="10">
        <f>ROUND(PRODUCT(G13/10),0)</f>
        <v>55</v>
      </c>
      <c r="I13" s="10">
        <f>ROUND(PRODUCT(G13/COUNT(F4:F13)),0)</f>
        <v>61</v>
      </c>
      <c r="J13" s="39">
        <v>0.25</v>
      </c>
      <c r="K13" s="20">
        <f t="shared" si="9"/>
        <v>0.625</v>
      </c>
      <c r="L13" s="43">
        <f t="shared" si="7"/>
        <v>18.7</v>
      </c>
      <c r="M13" s="34">
        <v>40</v>
      </c>
      <c r="N13" s="39">
        <v>0.3958333333333333</v>
      </c>
      <c r="O13" s="20">
        <f t="shared" si="4"/>
        <v>2.048611111111111</v>
      </c>
      <c r="P13" s="43">
        <f t="shared" si="0"/>
        <v>11.8</v>
      </c>
      <c r="Q13" s="20">
        <f t="shared" si="8"/>
        <v>0.14583333333333331</v>
      </c>
      <c r="R13" s="20">
        <f aca="true" t="shared" si="12" ref="R13:R20">SUM(Q13,R12)</f>
        <v>0.2361111111111111</v>
      </c>
      <c r="S13" s="10">
        <v>10</v>
      </c>
      <c r="T13" s="28">
        <v>20</v>
      </c>
      <c r="U13" s="17">
        <f aca="true" t="shared" si="13" ref="U13:U20">SUM(-S13,T13)</f>
        <v>10</v>
      </c>
      <c r="V13" s="28"/>
      <c r="W13" s="17">
        <f t="shared" si="10"/>
        <v>0</v>
      </c>
      <c r="X13" s="10"/>
      <c r="Y13" s="17"/>
      <c r="Z13" s="17"/>
      <c r="AA13" s="10">
        <v>50</v>
      </c>
      <c r="AB13" s="10"/>
      <c r="AC13" s="29"/>
      <c r="AD13" s="28"/>
      <c r="AE13" s="29"/>
      <c r="AF13" s="29">
        <v>11</v>
      </c>
      <c r="AG13" s="29">
        <v>24</v>
      </c>
      <c r="AH13" s="18">
        <f aca="true" t="shared" si="14" ref="AH13:AH20">SUM(AG13,-AF13)</f>
        <v>13</v>
      </c>
    </row>
    <row r="14" spans="1:34" ht="12.75">
      <c r="A14" s="46" t="s">
        <v>7</v>
      </c>
      <c r="B14" s="47">
        <v>41627</v>
      </c>
      <c r="C14" s="5" t="s">
        <v>69</v>
      </c>
      <c r="D14" s="46" t="s">
        <v>70</v>
      </c>
      <c r="E14" s="4" t="s">
        <v>71</v>
      </c>
      <c r="F14" s="5">
        <v>159</v>
      </c>
      <c r="G14" s="16">
        <f t="shared" si="11"/>
        <v>709</v>
      </c>
      <c r="H14" s="10">
        <f>ROUND(PRODUCT(G14/11),0)</f>
        <v>64</v>
      </c>
      <c r="I14" s="10">
        <f>ROUND(PRODUCT(G14/COUNT(F4:F14)),0)</f>
        <v>71</v>
      </c>
      <c r="J14" s="39">
        <v>0.34375</v>
      </c>
      <c r="K14" s="20">
        <f t="shared" si="9"/>
        <v>0.96875</v>
      </c>
      <c r="L14" s="43">
        <f t="shared" si="7"/>
        <v>19.3</v>
      </c>
      <c r="M14" s="35">
        <v>50</v>
      </c>
      <c r="N14" s="39">
        <v>0.4270833333333333</v>
      </c>
      <c r="O14" s="20">
        <f t="shared" si="4"/>
        <v>2.4756944444444446</v>
      </c>
      <c r="P14" s="43">
        <f t="shared" si="0"/>
        <v>15.5</v>
      </c>
      <c r="Q14" s="20">
        <f t="shared" si="8"/>
        <v>0.08333333333333331</v>
      </c>
      <c r="R14" s="20">
        <f t="shared" si="12"/>
        <v>0.3194444444444444</v>
      </c>
      <c r="S14" s="28">
        <v>20</v>
      </c>
      <c r="T14" s="28">
        <v>10</v>
      </c>
      <c r="U14" s="17">
        <f t="shared" si="13"/>
        <v>-10</v>
      </c>
      <c r="V14" s="60"/>
      <c r="W14" s="17">
        <f t="shared" si="10"/>
        <v>0</v>
      </c>
      <c r="X14" s="10"/>
      <c r="Y14" s="17"/>
      <c r="Z14" s="17"/>
      <c r="AA14" s="28">
        <v>90</v>
      </c>
      <c r="AB14" s="28"/>
      <c r="AC14" s="29"/>
      <c r="AD14" s="28"/>
      <c r="AE14" s="29"/>
      <c r="AF14" s="29">
        <v>10</v>
      </c>
      <c r="AG14" s="29">
        <v>20</v>
      </c>
      <c r="AH14" s="18">
        <f t="shared" si="14"/>
        <v>10</v>
      </c>
    </row>
    <row r="15" spans="1:34" ht="12.75">
      <c r="A15" s="46" t="s">
        <v>35</v>
      </c>
      <c r="B15" s="47">
        <v>41628</v>
      </c>
      <c r="C15" s="5" t="s">
        <v>71</v>
      </c>
      <c r="D15" s="46" t="s">
        <v>72</v>
      </c>
      <c r="E15" s="4" t="s">
        <v>73</v>
      </c>
      <c r="F15" s="5">
        <v>105</v>
      </c>
      <c r="G15" s="16">
        <f t="shared" si="11"/>
        <v>814</v>
      </c>
      <c r="H15" s="10">
        <f>ROUND(PRODUCT(G15/12),0)</f>
        <v>68</v>
      </c>
      <c r="I15" s="10">
        <f>ROUND(PRODUCT(G15/COUNT(F4:F15)),0)</f>
        <v>74</v>
      </c>
      <c r="J15" s="39">
        <v>0.3125</v>
      </c>
      <c r="K15" s="20">
        <f t="shared" si="9"/>
        <v>1.28125</v>
      </c>
      <c r="L15" s="43">
        <f t="shared" si="7"/>
        <v>14</v>
      </c>
      <c r="M15" s="35">
        <v>50</v>
      </c>
      <c r="N15" s="39">
        <v>0.4166666666666667</v>
      </c>
      <c r="O15" s="20">
        <f t="shared" si="4"/>
        <v>2.892361111111111</v>
      </c>
      <c r="P15" s="43">
        <f t="shared" si="0"/>
        <v>10.5</v>
      </c>
      <c r="Q15" s="20">
        <f t="shared" si="8"/>
        <v>0.10416666666666669</v>
      </c>
      <c r="R15" s="20">
        <f t="shared" si="12"/>
        <v>0.4236111111111111</v>
      </c>
      <c r="S15" s="28">
        <v>10</v>
      </c>
      <c r="T15" s="28">
        <v>10</v>
      </c>
      <c r="U15" s="17">
        <f t="shared" si="13"/>
        <v>0</v>
      </c>
      <c r="V15" s="28"/>
      <c r="W15" s="17">
        <f t="shared" si="10"/>
        <v>0</v>
      </c>
      <c r="X15" s="10"/>
      <c r="Y15" s="17"/>
      <c r="Z15" s="17"/>
      <c r="AA15" s="28">
        <v>250</v>
      </c>
      <c r="AB15" s="28"/>
      <c r="AC15" s="29"/>
      <c r="AD15" s="28"/>
      <c r="AE15" s="29"/>
      <c r="AF15" s="29">
        <v>13</v>
      </c>
      <c r="AG15" s="29">
        <v>17</v>
      </c>
      <c r="AH15" s="18">
        <f t="shared" si="14"/>
        <v>4</v>
      </c>
    </row>
    <row r="16" spans="1:34" ht="12.75">
      <c r="A16" s="46" t="s">
        <v>36</v>
      </c>
      <c r="B16" s="47">
        <v>41629</v>
      </c>
      <c r="C16" s="5" t="s">
        <v>73</v>
      </c>
      <c r="D16" s="46" t="s">
        <v>74</v>
      </c>
      <c r="E16" s="4" t="s">
        <v>75</v>
      </c>
      <c r="F16" s="5">
        <v>101</v>
      </c>
      <c r="G16" s="16">
        <f t="shared" si="11"/>
        <v>915</v>
      </c>
      <c r="H16" s="10">
        <f>ROUND(PRODUCT(G16/13),0)</f>
        <v>70</v>
      </c>
      <c r="I16" s="10">
        <f>ROUND(PRODUCT(G16/COUNT(F4:F16)),0)</f>
        <v>76</v>
      </c>
      <c r="J16" s="39">
        <v>0.2916666666666667</v>
      </c>
      <c r="K16" s="20">
        <f t="shared" si="9"/>
        <v>1.5729166666666667</v>
      </c>
      <c r="L16" s="43">
        <f t="shared" si="7"/>
        <v>14.4</v>
      </c>
      <c r="M16" s="35">
        <v>54</v>
      </c>
      <c r="N16" s="39">
        <v>0.375</v>
      </c>
      <c r="O16" s="20">
        <f t="shared" si="4"/>
        <v>3.267361111111111</v>
      </c>
      <c r="P16" s="43">
        <f t="shared" si="0"/>
        <v>11.2</v>
      </c>
      <c r="Q16" s="20">
        <f t="shared" si="8"/>
        <v>0.08333333333333331</v>
      </c>
      <c r="R16" s="20">
        <f t="shared" si="12"/>
        <v>0.5069444444444444</v>
      </c>
      <c r="S16" s="28">
        <v>10</v>
      </c>
      <c r="T16" s="28">
        <v>90</v>
      </c>
      <c r="U16" s="17">
        <f t="shared" si="13"/>
        <v>80</v>
      </c>
      <c r="V16" s="28"/>
      <c r="W16" s="17">
        <f t="shared" si="10"/>
        <v>0</v>
      </c>
      <c r="X16" s="10"/>
      <c r="Y16" s="17"/>
      <c r="Z16" s="17"/>
      <c r="AA16" s="28">
        <v>400</v>
      </c>
      <c r="AB16" s="28"/>
      <c r="AC16" s="29"/>
      <c r="AD16" s="28"/>
      <c r="AE16" s="29"/>
      <c r="AF16" s="29">
        <v>13</v>
      </c>
      <c r="AG16" s="29">
        <v>22</v>
      </c>
      <c r="AH16" s="18">
        <f t="shared" si="14"/>
        <v>9</v>
      </c>
    </row>
    <row r="17" spans="1:34" ht="12.75">
      <c r="A17" s="46" t="s">
        <v>37</v>
      </c>
      <c r="B17" s="47">
        <v>41630</v>
      </c>
      <c r="C17" s="5" t="s">
        <v>75</v>
      </c>
      <c r="D17" s="46"/>
      <c r="E17" s="4" t="s">
        <v>76</v>
      </c>
      <c r="F17" s="5">
        <v>48</v>
      </c>
      <c r="G17" s="16">
        <f t="shared" si="11"/>
        <v>963</v>
      </c>
      <c r="H17" s="10">
        <f>ROUND(PRODUCT(G17/14),0)</f>
        <v>69</v>
      </c>
      <c r="I17" s="10">
        <f>ROUND(PRODUCT(G17/COUNT(F4:F17)),0)</f>
        <v>74</v>
      </c>
      <c r="J17" s="39">
        <v>0.14583333333333334</v>
      </c>
      <c r="K17" s="20">
        <f t="shared" si="9"/>
        <v>1.71875</v>
      </c>
      <c r="L17" s="43">
        <f t="shared" si="7"/>
        <v>13.7</v>
      </c>
      <c r="M17" s="34">
        <v>50</v>
      </c>
      <c r="N17" s="39">
        <v>0.16666666666666666</v>
      </c>
      <c r="O17" s="20">
        <f t="shared" si="4"/>
        <v>3.4340277777777777</v>
      </c>
      <c r="P17" s="43">
        <f t="shared" si="0"/>
        <v>12</v>
      </c>
      <c r="Q17" s="20">
        <f t="shared" si="8"/>
        <v>0.020833333333333315</v>
      </c>
      <c r="R17" s="20">
        <f t="shared" si="12"/>
        <v>0.5277777777777777</v>
      </c>
      <c r="S17" s="28">
        <v>90</v>
      </c>
      <c r="T17" s="28">
        <v>10</v>
      </c>
      <c r="U17" s="17">
        <f t="shared" si="13"/>
        <v>-80</v>
      </c>
      <c r="V17" s="28"/>
      <c r="W17" s="17">
        <f t="shared" si="10"/>
        <v>0</v>
      </c>
      <c r="X17" s="10"/>
      <c r="Y17" s="17"/>
      <c r="Z17" s="17"/>
      <c r="AA17" s="28">
        <v>250</v>
      </c>
      <c r="AB17" s="28"/>
      <c r="AC17" s="29"/>
      <c r="AE17" s="29"/>
      <c r="AF17" s="29">
        <v>14</v>
      </c>
      <c r="AG17" s="29">
        <v>16</v>
      </c>
      <c r="AH17" s="18">
        <f t="shared" si="14"/>
        <v>2</v>
      </c>
    </row>
    <row r="18" spans="1:34" ht="12.75">
      <c r="A18" s="46" t="s">
        <v>38</v>
      </c>
      <c r="B18" s="47">
        <v>41631</v>
      </c>
      <c r="C18" s="5" t="s">
        <v>76</v>
      </c>
      <c r="D18" s="46"/>
      <c r="E18" s="4" t="s">
        <v>77</v>
      </c>
      <c r="F18" s="5">
        <v>81</v>
      </c>
      <c r="G18" s="16">
        <f t="shared" si="11"/>
        <v>1044</v>
      </c>
      <c r="H18" s="10">
        <f>ROUND(PRODUCT(G18/15),0)</f>
        <v>70</v>
      </c>
      <c r="I18" s="10">
        <f>ROUND(PRODUCT(G18/COUNT(F4:F18)),0)</f>
        <v>75</v>
      </c>
      <c r="J18" s="39">
        <v>0.23611111111111113</v>
      </c>
      <c r="K18" s="20">
        <f t="shared" si="9"/>
        <v>1.9548611111111112</v>
      </c>
      <c r="L18" s="43">
        <f t="shared" si="7"/>
        <v>14.3</v>
      </c>
      <c r="M18" s="35">
        <v>52</v>
      </c>
      <c r="N18" s="39">
        <v>0.3020833333333333</v>
      </c>
      <c r="O18" s="20">
        <f t="shared" si="4"/>
        <v>3.736111111111111</v>
      </c>
      <c r="P18" s="43">
        <f t="shared" si="0"/>
        <v>11.2</v>
      </c>
      <c r="Q18" s="20">
        <f t="shared" si="8"/>
        <v>0.06597222222222218</v>
      </c>
      <c r="R18" s="20">
        <f t="shared" si="12"/>
        <v>0.5937499999999999</v>
      </c>
      <c r="S18" s="28">
        <v>10</v>
      </c>
      <c r="T18" s="28">
        <v>10</v>
      </c>
      <c r="U18" s="17">
        <f t="shared" si="13"/>
        <v>0</v>
      </c>
      <c r="V18" s="28"/>
      <c r="W18" s="17">
        <f t="shared" si="10"/>
        <v>0</v>
      </c>
      <c r="X18" s="10"/>
      <c r="Y18" s="17"/>
      <c r="Z18" s="17"/>
      <c r="AA18" s="28">
        <v>250</v>
      </c>
      <c r="AB18" s="28"/>
      <c r="AC18" s="29"/>
      <c r="AE18" s="29"/>
      <c r="AF18" s="29">
        <v>11</v>
      </c>
      <c r="AG18" s="29">
        <v>20</v>
      </c>
      <c r="AH18" s="18">
        <f t="shared" si="14"/>
        <v>9</v>
      </c>
    </row>
    <row r="19" spans="1:34" ht="12.75">
      <c r="A19" s="46" t="s">
        <v>39</v>
      </c>
      <c r="B19" s="47">
        <v>41632</v>
      </c>
      <c r="C19" s="5" t="s">
        <v>77</v>
      </c>
      <c r="D19" s="46"/>
      <c r="E19" s="4" t="s">
        <v>78</v>
      </c>
      <c r="F19" s="5">
        <v>109</v>
      </c>
      <c r="G19" s="16">
        <f t="shared" si="11"/>
        <v>1153</v>
      </c>
      <c r="H19" s="10">
        <f>ROUND(PRODUCT(G19/16),0)</f>
        <v>72</v>
      </c>
      <c r="I19" s="10">
        <f>ROUND(PRODUCT(G19/COUNT(F4:F19)),0)</f>
        <v>77</v>
      </c>
      <c r="J19" s="39">
        <v>0.3541666666666667</v>
      </c>
      <c r="K19" s="20">
        <f t="shared" si="9"/>
        <v>2.3090277777777777</v>
      </c>
      <c r="L19" s="43">
        <f t="shared" si="7"/>
        <v>12.8</v>
      </c>
      <c r="M19" s="34">
        <v>63</v>
      </c>
      <c r="N19" s="39">
        <v>0.4236111111111111</v>
      </c>
      <c r="O19" s="20">
        <f t="shared" si="4"/>
        <v>4.159722222222222</v>
      </c>
      <c r="P19" s="43">
        <f t="shared" si="0"/>
        <v>10.7</v>
      </c>
      <c r="Q19" s="20">
        <f t="shared" si="8"/>
        <v>0.06944444444444442</v>
      </c>
      <c r="R19" s="20">
        <f t="shared" si="12"/>
        <v>0.6631944444444443</v>
      </c>
      <c r="S19" s="28">
        <v>10</v>
      </c>
      <c r="T19" s="28">
        <v>80</v>
      </c>
      <c r="U19" s="17">
        <f t="shared" si="13"/>
        <v>70</v>
      </c>
      <c r="V19" s="28"/>
      <c r="W19" s="17">
        <f t="shared" si="10"/>
        <v>0</v>
      </c>
      <c r="X19" s="10"/>
      <c r="Y19" s="17"/>
      <c r="Z19" s="17"/>
      <c r="AA19" s="28">
        <v>800</v>
      </c>
      <c r="AB19" s="28"/>
      <c r="AC19" s="29"/>
      <c r="AE19" s="29"/>
      <c r="AF19" s="29">
        <v>11</v>
      </c>
      <c r="AG19" s="29">
        <v>22</v>
      </c>
      <c r="AH19" s="18">
        <f t="shared" si="14"/>
        <v>11</v>
      </c>
    </row>
    <row r="20" spans="1:34" ht="12.75">
      <c r="A20" s="46" t="s">
        <v>40</v>
      </c>
      <c r="B20" s="47">
        <v>41633</v>
      </c>
      <c r="C20" s="5" t="s">
        <v>78</v>
      </c>
      <c r="D20" s="46" t="s">
        <v>79</v>
      </c>
      <c r="E20" s="4" t="s">
        <v>80</v>
      </c>
      <c r="F20" s="5">
        <v>143</v>
      </c>
      <c r="G20" s="16">
        <f t="shared" si="11"/>
        <v>1296</v>
      </c>
      <c r="H20" s="10">
        <f>ROUND(PRODUCT(G20/17),0)</f>
        <v>76</v>
      </c>
      <c r="I20" s="10">
        <f>ROUND(PRODUCT(G20/COUNT(F4:F20)),0)</f>
        <v>81</v>
      </c>
      <c r="J20" s="39">
        <v>0.3333333333333333</v>
      </c>
      <c r="K20" s="20">
        <f t="shared" si="9"/>
        <v>2.642361111111111</v>
      </c>
      <c r="L20" s="43">
        <f t="shared" si="7"/>
        <v>17.9</v>
      </c>
      <c r="M20" s="35">
        <v>58</v>
      </c>
      <c r="N20" s="39">
        <v>0.4236111111111111</v>
      </c>
      <c r="O20" s="20">
        <f t="shared" si="4"/>
        <v>4.583333333333333</v>
      </c>
      <c r="P20" s="43">
        <f t="shared" si="0"/>
        <v>14.1</v>
      </c>
      <c r="Q20" s="20">
        <f t="shared" si="8"/>
        <v>0.09027777777777779</v>
      </c>
      <c r="R20" s="20">
        <f t="shared" si="12"/>
        <v>0.7534722222222221</v>
      </c>
      <c r="S20" s="28">
        <v>80</v>
      </c>
      <c r="T20" s="28">
        <v>10</v>
      </c>
      <c r="U20" s="17">
        <f t="shared" si="13"/>
        <v>-70</v>
      </c>
      <c r="V20" s="28"/>
      <c r="W20" s="17">
        <f t="shared" si="10"/>
        <v>0</v>
      </c>
      <c r="X20" s="10"/>
      <c r="Y20" s="17"/>
      <c r="Z20" s="17"/>
      <c r="AA20" s="28">
        <v>180</v>
      </c>
      <c r="AB20" s="28"/>
      <c r="AC20" s="29"/>
      <c r="AE20" s="29"/>
      <c r="AF20" s="29">
        <v>18</v>
      </c>
      <c r="AG20" s="29">
        <v>21</v>
      </c>
      <c r="AH20" s="18">
        <f t="shared" si="14"/>
        <v>3</v>
      </c>
    </row>
    <row r="21" spans="1:34" ht="12.75">
      <c r="A21" s="30" t="s">
        <v>6</v>
      </c>
      <c r="B21" s="56"/>
      <c r="C21" s="57"/>
      <c r="D21" s="57"/>
      <c r="E21" s="58"/>
      <c r="F21" s="31">
        <f>SUM(F4:F20)</f>
        <v>1296</v>
      </c>
      <c r="G21" s="21">
        <f>SUM(G20)</f>
        <v>1296</v>
      </c>
      <c r="H21" s="21">
        <f>SUM(H20)</f>
        <v>76</v>
      </c>
      <c r="I21" s="21">
        <f>SUM(I20)</f>
        <v>81</v>
      </c>
      <c r="J21" s="22"/>
      <c r="K21" s="37"/>
      <c r="L21" s="42"/>
      <c r="M21" s="45">
        <f>PRODUCT(SUM(M4:M20),1/COUNT(M4:M20))</f>
        <v>49</v>
      </c>
      <c r="N21" s="22">
        <f>SUM(N4:N20)</f>
        <v>4.583333333333333</v>
      </c>
      <c r="O21" s="37">
        <f>F21/SUM(HOUR(N21)+(ROUNDDOWN(N21,0)*24),PRODUCT(MINUTE(N21)/60))</f>
        <v>11.781818181818181</v>
      </c>
      <c r="P21" s="42">
        <f>SUM(P4:P20)/COUNT(F4:F20)</f>
        <v>11.399999999999999</v>
      </c>
      <c r="Q21" s="22">
        <f>SUM(Q4:Q20)</f>
        <v>0.7534722222222221</v>
      </c>
      <c r="R21" s="21"/>
      <c r="S21" s="21">
        <f>ROUND(SUM(S4:S20)/COUNT(S4:S20),0)</f>
        <v>113</v>
      </c>
      <c r="T21" s="21">
        <f>ROUND(SUM(T4:T20)/COUNT(T4:T20),0)</f>
        <v>20</v>
      </c>
      <c r="U21" s="23">
        <f>SUM(U4:U20)</f>
        <v>-1480</v>
      </c>
      <c r="V21" s="21" t="e">
        <f>ROUND(SUM(V4:V20)/COUNT(V4:V20),0)</f>
        <v>#DIV/0!</v>
      </c>
      <c r="W21" s="21">
        <f>SUM(W20)</f>
        <v>0</v>
      </c>
      <c r="X21" s="21" t="e">
        <f>ROUND(SUM(X4:X20)/COUNT(V4:V20),0)</f>
        <v>#DIV/0!</v>
      </c>
      <c r="Y21" s="21">
        <f>SUM(Y20)</f>
        <v>0</v>
      </c>
      <c r="Z21" s="23">
        <f>SUM(Z4:Z20)</f>
        <v>0</v>
      </c>
      <c r="AA21" s="21">
        <f>ROUND(SUM(AA4:AA20)/COUNT(AA4:AA20),0)</f>
        <v>297</v>
      </c>
      <c r="AB21" s="36" t="e">
        <f aca="true" t="shared" si="15" ref="AB21:AG21">SUM(AB4:AB20)/COUNT(AB4:AB20)</f>
        <v>#DIV/0!</v>
      </c>
      <c r="AC21" s="36" t="e">
        <f t="shared" si="15"/>
        <v>#DIV/0!</v>
      </c>
      <c r="AD21" s="36" t="e">
        <f t="shared" si="15"/>
        <v>#DIV/0!</v>
      </c>
      <c r="AE21" s="36" t="e">
        <f t="shared" si="15"/>
        <v>#DIV/0!</v>
      </c>
      <c r="AF21" s="36">
        <f t="shared" si="15"/>
        <v>12.7</v>
      </c>
      <c r="AG21" s="36">
        <f t="shared" si="15"/>
        <v>20.3</v>
      </c>
      <c r="AH21" s="36">
        <f>SUM(AH4:AH20)/COUNT(AG4:AG20)</f>
        <v>7.6</v>
      </c>
    </row>
    <row r="22" spans="17:25" ht="12.75">
      <c r="Q22" s="10"/>
      <c r="R22" s="10"/>
      <c r="S22" s="10"/>
      <c r="W22" s="17"/>
      <c r="Y22" s="17"/>
    </row>
    <row r="23" spans="15:27" ht="12.75">
      <c r="O23" s="10"/>
      <c r="P23" s="10"/>
      <c r="Q23" s="10"/>
      <c r="R23" s="32"/>
      <c r="S23" s="10"/>
      <c r="T23" s="10"/>
      <c r="U23" s="10"/>
      <c r="V23" s="10"/>
      <c r="W23" s="17"/>
      <c r="X23" s="10"/>
      <c r="Y23" s="17"/>
      <c r="Z23" s="10"/>
      <c r="AA23" s="10"/>
    </row>
    <row r="24" spans="14:27" ht="12.75">
      <c r="N24" s="41"/>
      <c r="O24" s="10"/>
      <c r="P24" s="10"/>
      <c r="Q24" s="40"/>
      <c r="R24" s="40"/>
      <c r="S24" s="10"/>
      <c r="T24" s="10"/>
      <c r="U24" s="10"/>
      <c r="V24" s="10"/>
      <c r="W24" s="10"/>
      <c r="X24" s="10"/>
      <c r="Y24" s="10"/>
      <c r="Z24" s="10"/>
      <c r="AA24" s="10"/>
    </row>
    <row r="25" spans="15:27" ht="12.75">
      <c r="O25" s="10"/>
      <c r="P25" s="10"/>
      <c r="Q25" s="40"/>
      <c r="R25" s="40"/>
      <c r="S25" s="10"/>
      <c r="T25" s="10"/>
      <c r="U25" s="10"/>
      <c r="V25" s="10"/>
      <c r="W25" s="10"/>
      <c r="X25" s="10"/>
      <c r="Y25" s="10"/>
      <c r="Z25" s="10"/>
      <c r="AA25" s="10"/>
    </row>
    <row r="26" spans="15:27" ht="12.75">
      <c r="O26" s="10"/>
      <c r="P26" s="10"/>
      <c r="Q26" s="10"/>
      <c r="R26" s="40"/>
      <c r="S26" s="10"/>
      <c r="T26" s="10"/>
      <c r="U26" s="10"/>
      <c r="V26" s="10"/>
      <c r="W26" s="10"/>
      <c r="X26" s="10"/>
      <c r="Y26" s="10"/>
      <c r="Z26" s="10"/>
      <c r="AA26" s="10"/>
    </row>
    <row r="27" spans="15:27" ht="12.75"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</row>
  </sheetData>
  <mergeCells count="4">
    <mergeCell ref="A1:F1"/>
    <mergeCell ref="A2:F2"/>
    <mergeCell ref="G1:AH1"/>
    <mergeCell ref="B21:E21"/>
  </mergeCells>
  <printOptions/>
  <pageMargins left="0.5905511811023623" right="0.3937007874015748" top="0.984251968503937" bottom="0.984251968503937" header="0.5118110236220472" footer="0.5118110236220472"/>
  <pageSetup horizontalDpi="600" verticalDpi="600" orientation="landscape" paperSize="9" scale="93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MSCRM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christoph.gocke</dc:creator>
  <cp:keywords/>
  <dc:description/>
  <cp:lastModifiedBy>chris</cp:lastModifiedBy>
  <cp:lastPrinted>2008-09-30T19:05:36Z</cp:lastPrinted>
  <dcterms:created xsi:type="dcterms:W3CDTF">2001-02-09T16:25:48Z</dcterms:created>
  <dcterms:modified xsi:type="dcterms:W3CDTF">2014-01-01T17:28:33Z</dcterms:modified>
  <cp:category/>
  <cp:version/>
  <cp:contentType/>
  <cp:contentStatus/>
</cp:coreProperties>
</file>